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'Foaie1'!$A$1:$P$56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<sst xmlns="http://schemas.openxmlformats.org/spreadsheetml/2006/main" count="55" uniqueCount="55">
  <si>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</si>
  <si>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</si>
  <si>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</si>
  <si>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</si>
  <si>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</si>
  <si>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</si>
  <si>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</si>
  <si>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</si>
  <si>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</si>
  <si>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</si>
  <si>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</si>
  <si>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</si>
  <si>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</si>
  <si>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</si>
  <si>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</si>
  <si>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</si>
  <si>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</si>
  <si>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</si>
  <si>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</si>
  <si>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</si>
  <si>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</si>
  <si>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</si>
  <si>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</si>
  <si>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</si>
  <si>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</si>
  <si>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</si>
  <si>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</si>
  <si>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</si>
  <si>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</si>
  <si>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</si>
  <si>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</si>
  <si>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</si>
  <si>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</si>
  <si>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</si>
  <si>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</si>
  <si>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</si>
  <si>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</si>
  <si>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</si>
  <si>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</si>
  <si>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10,3%</t>
  </si>
  <si>
    <t xml:space="preserve">SC FIZIOTERA CONCEPT SRL </t>
  </si>
  <si>
    <t>SC CENTRUL MEDICAL BUZATU SRL</t>
  </si>
  <si>
    <t>SC SI-DI GRUP SRL</t>
  </si>
  <si>
    <t>REPARTIZATA CONFORM PUNCTAJELOR PENTRU FURNIZORII DE SERVICII MEDICALE DE MEDICINA FIZICA SI DE REABILITARE</t>
  </si>
  <si>
    <t>SITUATIA  SUMELOR AFERENTE LUNII FEBRUARIE 2024</t>
  </si>
  <si>
    <t>TOTAL VALOARE CONTRACT LUNA FEBRUARIE 2024</t>
  </si>
  <si>
    <t>TOTAL VALOARE LUNA FEBRUARIE 2024</t>
  </si>
  <si>
    <t>BUGET ALOCAT IAN-IUNIE 2024</t>
  </si>
  <si>
    <t>ACUPUNCTURA PROCENT DIN RECUPERARE -PROCENT 10,3% DIN TOTAL BUGET RECUPERARE FEB 2024</t>
  </si>
  <si>
    <t>VAL PCT APARAT FEB  2024</t>
  </si>
  <si>
    <t>VAL PCT PERSONAL FEB 2024</t>
  </si>
  <si>
    <t xml:space="preserve">TOTAL VALOARE ALOCATA FEB 2023 RECUPERARE+ ACUPUNCTURA </t>
  </si>
  <si>
    <t>VALOARE ALOCATA RECUPERARE FEB 2024</t>
  </si>
  <si>
    <t>VALOARE ALOCATA ACUPUNCTURA FEBRUARIE 2024</t>
  </si>
  <si>
    <t xml:space="preserve">VALOARE ALOCATA RECUPERARE FARA ACUPUNCTURA FEBRUARIE 2024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</si>
</sst>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15" customWidth="1"/>
    <col min="2" max="2" width="39.57421875" style="22" customWidth="1"/>
    <col min="3" max="3" width="14.140625" style="6" customWidth="1"/>
    <col min="4" max="4" width="12.7109375" style="6" customWidth="1"/>
    <col min="5" max="5" width="13.28125" style="15" customWidth="1"/>
    <col min="6" max="6" width="13.421875" style="15" customWidth="1"/>
    <col min="7" max="7" width="14.7109375" style="15" customWidth="1"/>
    <col min="8" max="8" width="14.57421875" style="15" customWidth="1"/>
    <col min="9" max="9" width="12.00390625" style="15" customWidth="1"/>
    <col min="10" max="10" width="15.7109375" style="15" customWidth="1"/>
    <col min="11" max="11" width="14.28125" style="15" customWidth="1"/>
    <col min="12" max="12" width="15.7109375" style="6" customWidth="1"/>
    <col min="13" max="13" width="11.8515625" style="6" customWidth="1"/>
    <col min="14" max="14" width="12.28125" style="6" customWidth="1"/>
    <col min="15" max="15" width="12.28125" style="6" hidden="1" customWidth="1"/>
    <col min="16" max="16" width="16.8515625" style="6" customWidth="1"/>
    <col min="17" max="16384" width="9.140625" style="6" customWidth="1"/>
  </cols>
  <sheetData>
    <row r="1" spans="1:15" ht="14.25">
      <c r="A1" s="6"/>
      <c r="C1" s="12"/>
      <c r="D1" s="12"/>
      <c r="E1" s="12"/>
      <c r="F1" s="6"/>
      <c r="G1" s="12"/>
      <c r="H1" s="12"/>
      <c r="I1" s="12"/>
      <c r="J1" s="12"/>
      <c r="K1" s="12"/>
      <c r="L1" s="12"/>
      <c r="M1" s="12"/>
      <c r="N1" s="12"/>
      <c r="O1" s="12"/>
    </row>
    <row r="2" spans="1:6" ht="18">
      <c r="A2" s="12"/>
      <c r="B2" s="6"/>
      <c r="E2" s="6"/>
      <c r="F2" s="13"/>
    </row>
    <row r="3" spans="1:11" ht="18">
      <c r="A3" s="6"/>
      <c r="B3" s="6"/>
      <c r="C3" s="13" t="s">
        <v>44</v>
      </c>
      <c r="D3" s="12"/>
      <c r="E3" s="12"/>
      <c r="H3" s="12"/>
      <c r="I3" s="6"/>
      <c r="J3" s="6"/>
      <c r="K3" s="6"/>
    </row>
    <row r="4" spans="1:11" ht="18">
      <c r="A4" s="6"/>
      <c r="B4" s="13" t="s">
        <v>43</v>
      </c>
      <c r="E4" s="6"/>
      <c r="F4" s="6"/>
      <c r="G4" s="6"/>
      <c r="H4" s="12"/>
      <c r="I4" s="6"/>
      <c r="J4" s="6"/>
      <c r="K4" s="6"/>
    </row>
    <row r="5" spans="1:15" ht="18">
      <c r="A5" s="12"/>
      <c r="B5" s="23"/>
      <c r="C5" s="13"/>
      <c r="D5" s="15"/>
      <c r="E5" s="6"/>
      <c r="F5" s="6"/>
      <c r="G5" s="6"/>
      <c r="H5" s="12"/>
      <c r="I5" s="12"/>
      <c r="J5" s="6"/>
      <c r="K5" s="6"/>
      <c r="O5" s="18"/>
    </row>
    <row r="6" spans="1:16" ht="87.75" customHeight="1">
      <c r="A6" s="16" t="s">
        <v>5</v>
      </c>
      <c r="B6" s="24" t="s">
        <v>0</v>
      </c>
      <c r="C6" s="2" t="s">
        <v>7</v>
      </c>
      <c r="D6" s="2" t="s">
        <v>34</v>
      </c>
      <c r="E6" s="2" t="s">
        <v>29</v>
      </c>
      <c r="F6" s="2" t="s">
        <v>10</v>
      </c>
      <c r="G6" s="2" t="s">
        <v>28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37</v>
      </c>
      <c r="N6" s="2" t="s">
        <v>38</v>
      </c>
      <c r="O6" s="34" t="s">
        <v>45</v>
      </c>
      <c r="P6" s="2" t="s">
        <v>46</v>
      </c>
    </row>
    <row r="7" spans="1:16" s="15" customFormat="1" ht="29.25" customHeight="1">
      <c r="A7" s="2">
        <v>1</v>
      </c>
      <c r="B7" s="2" t="s">
        <v>12</v>
      </c>
      <c r="C7" s="1">
        <v>213</v>
      </c>
      <c r="D7" s="1">
        <v>89</v>
      </c>
      <c r="E7" s="1">
        <v>80</v>
      </c>
      <c r="F7" s="14">
        <f aca="true" t="shared" si="0" ref="F7:F15">E7/D7</f>
        <v>0.898876404494382</v>
      </c>
      <c r="G7" s="14">
        <f>C7*F7</f>
        <v>191.46067415730337</v>
      </c>
      <c r="H7" s="1">
        <v>60</v>
      </c>
      <c r="I7" s="1">
        <v>0</v>
      </c>
      <c r="J7" s="14">
        <f>G7+H7+I7</f>
        <v>251.46067415730337</v>
      </c>
      <c r="K7" s="1">
        <f>115+2</f>
        <v>117</v>
      </c>
      <c r="L7" s="14">
        <f aca="true" t="shared" si="1" ref="L7:L31">J7+K7</f>
        <v>368.4606741573034</v>
      </c>
      <c r="M7" s="33">
        <f>J7*$D$45</f>
        <v>15887.568867637809</v>
      </c>
      <c r="N7" s="33">
        <f>K7*$D$47</f>
        <v>29472.090095944997</v>
      </c>
      <c r="O7" s="33">
        <f>M7+N7</f>
        <v>45359.658963582806</v>
      </c>
      <c r="P7" s="33">
        <f>ROUND(O7,2)</f>
        <v>45359.66</v>
      </c>
    </row>
    <row r="8" spans="1:16" s="15" customFormat="1" ht="24.75" customHeight="1">
      <c r="A8" s="2">
        <v>2</v>
      </c>
      <c r="B8" s="42" t="s">
        <v>14</v>
      </c>
      <c r="C8" s="1">
        <v>151</v>
      </c>
      <c r="D8" s="1">
        <v>44</v>
      </c>
      <c r="E8" s="1">
        <v>40</v>
      </c>
      <c r="F8" s="14">
        <f t="shared" si="0"/>
        <v>0.9090909090909091</v>
      </c>
      <c r="G8" s="14">
        <f>C8*F8</f>
        <v>137.27272727272728</v>
      </c>
      <c r="H8" s="1">
        <v>40</v>
      </c>
      <c r="I8" s="1">
        <v>0</v>
      </c>
      <c r="J8" s="14">
        <f>G8+H8+I8</f>
        <v>177.27272727272728</v>
      </c>
      <c r="K8" s="1">
        <f>45+2+5</f>
        <v>52</v>
      </c>
      <c r="L8" s="14">
        <f t="shared" si="1"/>
        <v>229.27272727272728</v>
      </c>
      <c r="M8" s="33">
        <f aca="true" t="shared" si="2" ref="M8:M31">J8*$D$45</f>
        <v>11200.290750583075</v>
      </c>
      <c r="N8" s="33">
        <f aca="true" t="shared" si="3" ref="N8:N31">K8*$D$47</f>
        <v>13098.706709308888</v>
      </c>
      <c r="O8" s="33">
        <f aca="true" t="shared" si="4" ref="O8:O31">M8+N8</f>
        <v>24298.997459891965</v>
      </c>
      <c r="P8" s="33">
        <f aca="true" t="shared" si="5" ref="P8:P31">ROUND(O8,2)</f>
        <v>24299</v>
      </c>
    </row>
    <row r="9" spans="1:16" s="15" customFormat="1" ht="44.25" customHeight="1">
      <c r="A9" s="2">
        <v>3</v>
      </c>
      <c r="B9" s="42" t="s">
        <v>1</v>
      </c>
      <c r="C9" s="1">
        <v>175</v>
      </c>
      <c r="D9" s="1">
        <v>53</v>
      </c>
      <c r="E9" s="1">
        <f>44-4+10</f>
        <v>50</v>
      </c>
      <c r="F9" s="43">
        <f t="shared" si="0"/>
        <v>0.9433962264150944</v>
      </c>
      <c r="G9" s="14">
        <f aca="true" t="shared" si="6" ref="G9:G15">C9*F9</f>
        <v>165.0943396226415</v>
      </c>
      <c r="H9" s="1">
        <v>60</v>
      </c>
      <c r="I9" s="1">
        <v>16</v>
      </c>
      <c r="J9" s="14">
        <f>G9+H9+I9</f>
        <v>241.0943396226415</v>
      </c>
      <c r="K9" s="1">
        <f>67.5+2</f>
        <v>69.5</v>
      </c>
      <c r="L9" s="14">
        <f t="shared" si="1"/>
        <v>310.59433962264154</v>
      </c>
      <c r="M9" s="33">
        <f t="shared" si="2"/>
        <v>15232.612165655113</v>
      </c>
      <c r="N9" s="33">
        <f t="shared" si="3"/>
        <v>17506.925313403226</v>
      </c>
      <c r="O9" s="33">
        <f t="shared" si="4"/>
        <v>32739.537479058337</v>
      </c>
      <c r="P9" s="33">
        <f t="shared" si="5"/>
        <v>32739.54</v>
      </c>
    </row>
    <row r="10" spans="1:16" s="15" customFormat="1" ht="24.75" customHeight="1">
      <c r="A10" s="2">
        <v>4</v>
      </c>
      <c r="B10" s="2" t="s">
        <v>15</v>
      </c>
      <c r="C10" s="1">
        <v>54</v>
      </c>
      <c r="D10" s="1">
        <v>23</v>
      </c>
      <c r="E10" s="1">
        <v>20</v>
      </c>
      <c r="F10" s="14">
        <f t="shared" si="0"/>
        <v>0.8695652173913043</v>
      </c>
      <c r="G10" s="14">
        <f t="shared" si="6"/>
        <v>46.95652173913043</v>
      </c>
      <c r="H10" s="1">
        <v>60</v>
      </c>
      <c r="I10" s="1">
        <v>0</v>
      </c>
      <c r="J10" s="14">
        <f>G10+H10+I10</f>
        <v>106.95652173913044</v>
      </c>
      <c r="K10" s="1">
        <f>25+2</f>
        <v>27</v>
      </c>
      <c r="L10" s="14">
        <f t="shared" si="1"/>
        <v>133.95652173913044</v>
      </c>
      <c r="M10" s="33">
        <f t="shared" si="2"/>
        <v>6757.633616739756</v>
      </c>
      <c r="N10" s="33">
        <f t="shared" si="3"/>
        <v>6801.251560602692</v>
      </c>
      <c r="O10" s="33">
        <f t="shared" si="4"/>
        <v>13558.885177342447</v>
      </c>
      <c r="P10" s="33">
        <f t="shared" si="5"/>
        <v>13558.89</v>
      </c>
    </row>
    <row r="11" spans="1:16" s="15" customFormat="1" ht="24.75" customHeight="1">
      <c r="A11" s="2">
        <v>5</v>
      </c>
      <c r="B11" s="40" t="s">
        <v>24</v>
      </c>
      <c r="C11" s="1">
        <v>180</v>
      </c>
      <c r="D11" s="1">
        <v>45</v>
      </c>
      <c r="E11" s="41">
        <f>30+5</f>
        <v>35</v>
      </c>
      <c r="F11" s="14">
        <f t="shared" si="0"/>
        <v>0.7777777777777778</v>
      </c>
      <c r="G11" s="14">
        <f t="shared" si="6"/>
        <v>140</v>
      </c>
      <c r="H11" s="1">
        <v>60</v>
      </c>
      <c r="I11" s="1">
        <v>0</v>
      </c>
      <c r="J11" s="14">
        <f>G11+H11+I11</f>
        <v>200</v>
      </c>
      <c r="K11" s="1">
        <f>42.5+2+7.5</f>
        <v>52</v>
      </c>
      <c r="L11" s="14">
        <f>J11+K11</f>
        <v>252</v>
      </c>
      <c r="M11" s="33">
        <f t="shared" si="2"/>
        <v>12636.225462196291</v>
      </c>
      <c r="N11" s="33">
        <f t="shared" si="3"/>
        <v>13098.706709308888</v>
      </c>
      <c r="O11" s="33">
        <f t="shared" si="4"/>
        <v>25734.932171505177</v>
      </c>
      <c r="P11" s="33">
        <f t="shared" si="5"/>
        <v>25734.93</v>
      </c>
    </row>
    <row r="12" spans="1:16" s="15" customFormat="1" ht="29.25" customHeight="1">
      <c r="A12" s="2">
        <v>6</v>
      </c>
      <c r="B12" s="2" t="s">
        <v>4</v>
      </c>
      <c r="C12" s="1">
        <v>124</v>
      </c>
      <c r="D12" s="1">
        <v>48</v>
      </c>
      <c r="E12" s="1">
        <v>30</v>
      </c>
      <c r="F12" s="14">
        <f t="shared" si="0"/>
        <v>0.625</v>
      </c>
      <c r="G12" s="14">
        <f t="shared" si="6"/>
        <v>77.5</v>
      </c>
      <c r="H12" s="1">
        <v>40</v>
      </c>
      <c r="I12" s="1">
        <v>0</v>
      </c>
      <c r="J12" s="14">
        <f aca="true" t="shared" si="7" ref="J12:J22">G12+H12+I12</f>
        <v>117.5</v>
      </c>
      <c r="K12" s="1">
        <f>40+5</f>
        <v>45</v>
      </c>
      <c r="L12" s="14">
        <f t="shared" si="1"/>
        <v>162.5</v>
      </c>
      <c r="M12" s="33">
        <f t="shared" si="2"/>
        <v>7423.782459040321</v>
      </c>
      <c r="N12" s="33">
        <f t="shared" si="3"/>
        <v>11335.419267671152</v>
      </c>
      <c r="O12" s="33">
        <f t="shared" si="4"/>
        <v>18759.20172671147</v>
      </c>
      <c r="P12" s="33">
        <f t="shared" si="5"/>
        <v>18759.2</v>
      </c>
    </row>
    <row r="13" spans="1:16" s="15" customFormat="1" ht="24.75" customHeight="1">
      <c r="A13" s="2">
        <v>7</v>
      </c>
      <c r="B13" s="2" t="s">
        <v>16</v>
      </c>
      <c r="C13" s="1">
        <v>88</v>
      </c>
      <c r="D13" s="1">
        <v>40</v>
      </c>
      <c r="E13" s="1">
        <v>20</v>
      </c>
      <c r="F13" s="14">
        <f t="shared" si="0"/>
        <v>0.5</v>
      </c>
      <c r="G13" s="14">
        <f t="shared" si="6"/>
        <v>44</v>
      </c>
      <c r="H13" s="1">
        <v>40</v>
      </c>
      <c r="I13" s="1">
        <v>0</v>
      </c>
      <c r="J13" s="14">
        <f t="shared" si="7"/>
        <v>84</v>
      </c>
      <c r="K13" s="1">
        <f>25+2</f>
        <v>27</v>
      </c>
      <c r="L13" s="14">
        <f t="shared" si="1"/>
        <v>111</v>
      </c>
      <c r="M13" s="33">
        <f t="shared" si="2"/>
        <v>5307.214694122442</v>
      </c>
      <c r="N13" s="33">
        <f t="shared" si="3"/>
        <v>6801.251560602692</v>
      </c>
      <c r="O13" s="33">
        <f t="shared" si="4"/>
        <v>12108.466254725134</v>
      </c>
      <c r="P13" s="33">
        <f t="shared" si="5"/>
        <v>12108.47</v>
      </c>
    </row>
    <row r="14" spans="1:16" s="15" customFormat="1" ht="24.75" customHeight="1">
      <c r="A14" s="2">
        <v>8</v>
      </c>
      <c r="B14" s="2" t="s">
        <v>22</v>
      </c>
      <c r="C14" s="1">
        <v>50</v>
      </c>
      <c r="D14" s="1">
        <v>15</v>
      </c>
      <c r="E14" s="1">
        <v>25</v>
      </c>
      <c r="F14" s="14">
        <f t="shared" si="0"/>
        <v>1.6666666666666667</v>
      </c>
      <c r="G14" s="14">
        <f>C14</f>
        <v>50</v>
      </c>
      <c r="H14" s="1">
        <v>60</v>
      </c>
      <c r="I14" s="1">
        <v>0</v>
      </c>
      <c r="J14" s="14">
        <f>G14+H14+I14</f>
        <v>110</v>
      </c>
      <c r="K14" s="1">
        <f>32.5+4.28</f>
        <v>36.78</v>
      </c>
      <c r="L14" s="14">
        <f>J14+K14</f>
        <v>146.78</v>
      </c>
      <c r="M14" s="33">
        <f t="shared" si="2"/>
        <v>6949.92400420796</v>
      </c>
      <c r="N14" s="33">
        <f t="shared" si="3"/>
        <v>9264.816014776556</v>
      </c>
      <c r="O14" s="33">
        <f t="shared" si="4"/>
        <v>16214.740018984516</v>
      </c>
      <c r="P14" s="33">
        <f t="shared" si="5"/>
        <v>16214.74</v>
      </c>
    </row>
    <row r="15" spans="1:16" s="15" customFormat="1" ht="30.75" customHeight="1">
      <c r="A15" s="2">
        <v>9</v>
      </c>
      <c r="B15" s="2" t="s">
        <v>21</v>
      </c>
      <c r="C15" s="1">
        <v>80</v>
      </c>
      <c r="D15" s="1">
        <v>20</v>
      </c>
      <c r="E15" s="1">
        <v>20</v>
      </c>
      <c r="F15" s="14">
        <f t="shared" si="0"/>
        <v>1</v>
      </c>
      <c r="G15" s="14">
        <f t="shared" si="6"/>
        <v>80</v>
      </c>
      <c r="H15" s="1">
        <v>60</v>
      </c>
      <c r="I15" s="1">
        <v>0</v>
      </c>
      <c r="J15" s="14">
        <f t="shared" si="7"/>
        <v>140</v>
      </c>
      <c r="K15" s="1">
        <f>27.5+2</f>
        <v>29.5</v>
      </c>
      <c r="L15" s="14">
        <f>J15+K15</f>
        <v>169.5</v>
      </c>
      <c r="M15" s="33">
        <f t="shared" si="2"/>
        <v>8845.357823537403</v>
      </c>
      <c r="N15" s="33">
        <f t="shared" si="3"/>
        <v>7430.997075473311</v>
      </c>
      <c r="O15" s="33">
        <f t="shared" si="4"/>
        <v>16276.354899010714</v>
      </c>
      <c r="P15" s="33">
        <f t="shared" si="5"/>
        <v>16276.35</v>
      </c>
    </row>
    <row r="16" spans="1:16" s="15" customFormat="1" ht="35.25" customHeight="1">
      <c r="A16" s="2">
        <v>10</v>
      </c>
      <c r="B16" s="2" t="s">
        <v>23</v>
      </c>
      <c r="C16" s="1">
        <v>184</v>
      </c>
      <c r="D16" s="1">
        <v>42</v>
      </c>
      <c r="E16" s="1">
        <v>42.14</v>
      </c>
      <c r="F16" s="14">
        <f>E16/D16</f>
        <v>1.0033333333333334</v>
      </c>
      <c r="G16" s="14">
        <f>C16</f>
        <v>184</v>
      </c>
      <c r="H16" s="1">
        <v>40</v>
      </c>
      <c r="I16" s="1">
        <v>0</v>
      </c>
      <c r="J16" s="14">
        <f>G16+H16+I16</f>
        <v>224</v>
      </c>
      <c r="K16" s="1">
        <f>58.21+2</f>
        <v>60.21</v>
      </c>
      <c r="L16" s="14">
        <f>J16+K16</f>
        <v>284.21</v>
      </c>
      <c r="M16" s="33">
        <f t="shared" si="2"/>
        <v>14152.572517659846</v>
      </c>
      <c r="N16" s="33">
        <f t="shared" si="3"/>
        <v>15166.790980144002</v>
      </c>
      <c r="O16" s="33">
        <f t="shared" si="4"/>
        <v>29319.363497803846</v>
      </c>
      <c r="P16" s="33">
        <f t="shared" si="5"/>
        <v>29319.36</v>
      </c>
    </row>
    <row r="17" spans="1:16" s="15" customFormat="1" ht="57.75" customHeight="1">
      <c r="A17" s="2">
        <v>11</v>
      </c>
      <c r="B17" s="2" t="s">
        <v>19</v>
      </c>
      <c r="C17" s="1">
        <v>60</v>
      </c>
      <c r="D17" s="1">
        <v>18</v>
      </c>
      <c r="E17" s="1">
        <f>30-10</f>
        <v>20</v>
      </c>
      <c r="F17" s="14">
        <f aca="true" t="shared" si="8" ref="F17:F31">E17/D17</f>
        <v>1.1111111111111112</v>
      </c>
      <c r="G17" s="14">
        <f>C17</f>
        <v>60</v>
      </c>
      <c r="H17" s="1">
        <v>10</v>
      </c>
      <c r="I17" s="1">
        <v>0</v>
      </c>
      <c r="J17" s="14">
        <f t="shared" si="7"/>
        <v>70</v>
      </c>
      <c r="K17" s="1">
        <f>25+2</f>
        <v>27</v>
      </c>
      <c r="L17" s="14">
        <f>J17+K17</f>
        <v>97</v>
      </c>
      <c r="M17" s="33">
        <f t="shared" si="2"/>
        <v>4422.678911768701</v>
      </c>
      <c r="N17" s="33">
        <f t="shared" si="3"/>
        <v>6801.251560602692</v>
      </c>
      <c r="O17" s="33">
        <f t="shared" si="4"/>
        <v>11223.930472371394</v>
      </c>
      <c r="P17" s="33">
        <f t="shared" si="5"/>
        <v>11223.93</v>
      </c>
    </row>
    <row r="18" spans="1:16" s="15" customFormat="1" ht="51.75" customHeight="1">
      <c r="A18" s="2">
        <v>12</v>
      </c>
      <c r="B18" s="2" t="s">
        <v>26</v>
      </c>
      <c r="C18" s="1">
        <v>191</v>
      </c>
      <c r="D18" s="1">
        <v>65</v>
      </c>
      <c r="E18" s="1">
        <v>210</v>
      </c>
      <c r="F18" s="14">
        <f t="shared" si="8"/>
        <v>3.230769230769231</v>
      </c>
      <c r="G18" s="14">
        <f>C18</f>
        <v>191</v>
      </c>
      <c r="H18" s="1">
        <v>40</v>
      </c>
      <c r="I18" s="1">
        <v>0</v>
      </c>
      <c r="J18" s="14">
        <f t="shared" si="7"/>
        <v>231</v>
      </c>
      <c r="K18" s="1">
        <f>220+4.29</f>
        <v>224.29</v>
      </c>
      <c r="L18" s="14">
        <f>J18+K18</f>
        <v>455.28999999999996</v>
      </c>
      <c r="M18" s="33">
        <f t="shared" si="2"/>
        <v>14594.840408836715</v>
      </c>
      <c r="N18" s="33">
        <f t="shared" si="3"/>
        <v>56498.248612132506</v>
      </c>
      <c r="O18" s="33">
        <f t="shared" si="4"/>
        <v>71093.08902096922</v>
      </c>
      <c r="P18" s="33">
        <f t="shared" si="5"/>
        <v>71093.09</v>
      </c>
    </row>
    <row r="19" spans="1:16" s="15" customFormat="1" ht="24.75" customHeight="1">
      <c r="A19" s="2">
        <v>13</v>
      </c>
      <c r="B19" s="40" t="s">
        <v>2</v>
      </c>
      <c r="C19" s="1">
        <v>256</v>
      </c>
      <c r="D19" s="1">
        <v>76</v>
      </c>
      <c r="E19" s="1">
        <f>61.5+10-10-27</f>
        <v>34.5</v>
      </c>
      <c r="F19" s="14">
        <f>E19/D19</f>
        <v>0.45394736842105265</v>
      </c>
      <c r="G19" s="14">
        <f>C19*F19</f>
        <v>116.21052631578948</v>
      </c>
      <c r="H19" s="1">
        <f>60</f>
        <v>60</v>
      </c>
      <c r="I19" s="1">
        <f>40</f>
        <v>40</v>
      </c>
      <c r="J19" s="14">
        <f t="shared" si="7"/>
        <v>216.21052631578948</v>
      </c>
      <c r="K19" s="1">
        <f>75+4.11+10-10-32.5</f>
        <v>46.61</v>
      </c>
      <c r="L19" s="14">
        <f t="shared" si="1"/>
        <v>262.8205263157895</v>
      </c>
      <c r="M19" s="33">
        <f t="shared" si="2"/>
        <v>13660.424789132201</v>
      </c>
      <c r="N19" s="33">
        <f t="shared" si="3"/>
        <v>11740.975379247831</v>
      </c>
      <c r="O19" s="33">
        <f t="shared" si="4"/>
        <v>25401.40016838003</v>
      </c>
      <c r="P19" s="33">
        <f t="shared" si="5"/>
        <v>25401.4</v>
      </c>
    </row>
    <row r="20" spans="1:16" s="15" customFormat="1" ht="24.75" customHeight="1">
      <c r="A20" s="2">
        <v>14</v>
      </c>
      <c r="B20" s="2" t="s">
        <v>32</v>
      </c>
      <c r="C20" s="1">
        <v>160</v>
      </c>
      <c r="D20" s="1">
        <v>49</v>
      </c>
      <c r="E20" s="1">
        <v>45</v>
      </c>
      <c r="F20" s="14">
        <f t="shared" si="8"/>
        <v>0.9183673469387755</v>
      </c>
      <c r="G20" s="14">
        <f>C20*F20</f>
        <v>146.9387755102041</v>
      </c>
      <c r="H20" s="1">
        <v>40</v>
      </c>
      <c r="I20" s="1">
        <v>0</v>
      </c>
      <c r="J20" s="14">
        <f t="shared" si="7"/>
        <v>186.9387755102041</v>
      </c>
      <c r="K20" s="1">
        <f>65+5</f>
        <v>70</v>
      </c>
      <c r="L20" s="14">
        <f t="shared" si="1"/>
        <v>256.9387755102041</v>
      </c>
      <c r="M20" s="33">
        <f t="shared" si="2"/>
        <v>11811.002574869186</v>
      </c>
      <c r="N20" s="33">
        <f t="shared" si="3"/>
        <v>17632.874416377348</v>
      </c>
      <c r="O20" s="33">
        <f t="shared" si="4"/>
        <v>29443.876991246536</v>
      </c>
      <c r="P20" s="33">
        <f t="shared" si="5"/>
        <v>29443.88</v>
      </c>
    </row>
    <row r="21" spans="1:16" s="15" customFormat="1" ht="37.5" customHeight="1">
      <c r="A21" s="2">
        <v>15</v>
      </c>
      <c r="B21" s="2" t="s">
        <v>3</v>
      </c>
      <c r="C21" s="1">
        <v>70</v>
      </c>
      <c r="D21" s="1">
        <v>21</v>
      </c>
      <c r="E21" s="1">
        <v>20</v>
      </c>
      <c r="F21" s="14">
        <f t="shared" si="8"/>
        <v>0.9523809523809523</v>
      </c>
      <c r="G21" s="14">
        <f>F21*C21</f>
        <v>66.66666666666666</v>
      </c>
      <c r="H21" s="1">
        <v>40</v>
      </c>
      <c r="I21" s="1">
        <v>0</v>
      </c>
      <c r="J21" s="14">
        <f t="shared" si="7"/>
        <v>106.66666666666666</v>
      </c>
      <c r="K21" s="1">
        <f>27.5+2</f>
        <v>29.5</v>
      </c>
      <c r="L21" s="14">
        <f t="shared" si="1"/>
        <v>136.16666666666666</v>
      </c>
      <c r="M21" s="33">
        <f t="shared" si="2"/>
        <v>6739.320246504688</v>
      </c>
      <c r="N21" s="33">
        <f t="shared" si="3"/>
        <v>7430.997075473311</v>
      </c>
      <c r="O21" s="33">
        <f t="shared" si="4"/>
        <v>14170.317321978</v>
      </c>
      <c r="P21" s="33">
        <f t="shared" si="5"/>
        <v>14170.32</v>
      </c>
    </row>
    <row r="22" spans="1:16" s="15" customFormat="1" ht="30.75" customHeight="1">
      <c r="A22" s="2">
        <v>16</v>
      </c>
      <c r="B22" s="2" t="s">
        <v>20</v>
      </c>
      <c r="C22" s="1">
        <v>313</v>
      </c>
      <c r="D22" s="1">
        <v>95</v>
      </c>
      <c r="E22" s="1">
        <v>95</v>
      </c>
      <c r="F22" s="14">
        <f t="shared" si="8"/>
        <v>1</v>
      </c>
      <c r="G22" s="14">
        <f>F22*C22</f>
        <v>313</v>
      </c>
      <c r="H22" s="1">
        <v>60</v>
      </c>
      <c r="I22" s="1">
        <v>40</v>
      </c>
      <c r="J22" s="14">
        <f t="shared" si="7"/>
        <v>413</v>
      </c>
      <c r="K22" s="1">
        <f>140+4.64</f>
        <v>144.64</v>
      </c>
      <c r="L22" s="14">
        <f>J22+K22</f>
        <v>557.64</v>
      </c>
      <c r="M22" s="33">
        <f t="shared" si="2"/>
        <v>26093.80557943534</v>
      </c>
      <c r="N22" s="33">
        <f t="shared" si="3"/>
        <v>36434.556508354566</v>
      </c>
      <c r="O22" s="33">
        <f t="shared" si="4"/>
        <v>62528.36208778991</v>
      </c>
      <c r="P22" s="33">
        <f t="shared" si="5"/>
        <v>62528.36</v>
      </c>
    </row>
    <row r="23" spans="1:16" s="15" customFormat="1" ht="24.75" customHeight="1">
      <c r="A23" s="2">
        <v>17</v>
      </c>
      <c r="B23" s="2" t="s">
        <v>25</v>
      </c>
      <c r="C23" s="1">
        <v>180</v>
      </c>
      <c r="D23" s="1">
        <v>46</v>
      </c>
      <c r="E23" s="1">
        <v>50</v>
      </c>
      <c r="F23" s="14">
        <f t="shared" si="8"/>
        <v>1.0869565217391304</v>
      </c>
      <c r="G23" s="14">
        <f>C23</f>
        <v>180</v>
      </c>
      <c r="H23" s="1">
        <f>40+20</f>
        <v>60</v>
      </c>
      <c r="I23" s="1">
        <v>0</v>
      </c>
      <c r="J23" s="14">
        <f>G23+H23+I23</f>
        <v>240</v>
      </c>
      <c r="K23" s="1">
        <f>72.5+4.2</f>
        <v>76.7</v>
      </c>
      <c r="L23" s="14">
        <f>J23+K23</f>
        <v>316.7</v>
      </c>
      <c r="M23" s="33">
        <f t="shared" si="2"/>
        <v>15163.470554635549</v>
      </c>
      <c r="N23" s="33">
        <f t="shared" si="3"/>
        <v>19320.592396230608</v>
      </c>
      <c r="O23" s="33">
        <f t="shared" si="4"/>
        <v>34484.06295086616</v>
      </c>
      <c r="P23" s="33">
        <f t="shared" si="5"/>
        <v>34484.06</v>
      </c>
    </row>
    <row r="24" spans="1:16" s="15" customFormat="1" ht="24.75" customHeight="1">
      <c r="A24" s="2">
        <v>18</v>
      </c>
      <c r="B24" s="2" t="s">
        <v>27</v>
      </c>
      <c r="C24" s="1">
        <v>95</v>
      </c>
      <c r="D24" s="1">
        <v>30</v>
      </c>
      <c r="E24" s="1">
        <v>24</v>
      </c>
      <c r="F24" s="14">
        <f t="shared" si="8"/>
        <v>0.8</v>
      </c>
      <c r="G24" s="14">
        <f>C24*F24</f>
        <v>76</v>
      </c>
      <c r="H24" s="1">
        <v>40</v>
      </c>
      <c r="I24" s="1">
        <v>0</v>
      </c>
      <c r="J24" s="14">
        <f>G24+H24+I24</f>
        <v>116</v>
      </c>
      <c r="K24" s="1">
        <f>35+2</f>
        <v>37</v>
      </c>
      <c r="L24" s="14">
        <f>J24+K24</f>
        <v>153</v>
      </c>
      <c r="M24" s="33">
        <f t="shared" si="2"/>
        <v>7329.010768073848</v>
      </c>
      <c r="N24" s="33">
        <f t="shared" si="3"/>
        <v>9320.23362008517</v>
      </c>
      <c r="O24" s="33">
        <f t="shared" si="4"/>
        <v>16649.24438815902</v>
      </c>
      <c r="P24" s="33">
        <f t="shared" si="5"/>
        <v>16649.24</v>
      </c>
    </row>
    <row r="25" spans="1:16" s="15" customFormat="1" ht="24.75" customHeight="1">
      <c r="A25" s="2">
        <v>19</v>
      </c>
      <c r="B25" s="42" t="s">
        <v>30</v>
      </c>
      <c r="C25" s="1">
        <v>140</v>
      </c>
      <c r="D25" s="1">
        <v>38</v>
      </c>
      <c r="E25" s="1">
        <v>40</v>
      </c>
      <c r="F25" s="14">
        <f t="shared" si="8"/>
        <v>1.0526315789473684</v>
      </c>
      <c r="G25" s="14">
        <f>C25</f>
        <v>140</v>
      </c>
      <c r="H25" s="1">
        <v>40</v>
      </c>
      <c r="I25" s="1">
        <v>0</v>
      </c>
      <c r="J25" s="14">
        <f>G25+H25+I25</f>
        <v>180</v>
      </c>
      <c r="K25" s="1">
        <f>57.5+2</f>
        <v>59.5</v>
      </c>
      <c r="L25" s="14">
        <f>J25+K25</f>
        <v>239.5</v>
      </c>
      <c r="M25" s="33">
        <f t="shared" si="2"/>
        <v>11372.602915976662</v>
      </c>
      <c r="N25" s="33">
        <f t="shared" si="3"/>
        <v>14987.943253920746</v>
      </c>
      <c r="O25" s="33">
        <f t="shared" si="4"/>
        <v>26360.54616989741</v>
      </c>
      <c r="P25" s="33">
        <f t="shared" si="5"/>
        <v>26360.55</v>
      </c>
    </row>
    <row r="26" spans="1:16" s="15" customFormat="1" ht="24.75" customHeight="1">
      <c r="A26" s="2">
        <v>20</v>
      </c>
      <c r="B26" s="40" t="s">
        <v>31</v>
      </c>
      <c r="C26" s="1">
        <v>240</v>
      </c>
      <c r="D26" s="1">
        <v>67</v>
      </c>
      <c r="E26" s="1">
        <f>83-10+20</f>
        <v>93</v>
      </c>
      <c r="F26" s="14">
        <f>E26/D26</f>
        <v>1.3880597014925373</v>
      </c>
      <c r="G26" s="14">
        <f>C26</f>
        <v>240</v>
      </c>
      <c r="H26" s="1">
        <f>60-20</f>
        <v>40</v>
      </c>
      <c r="I26" s="1">
        <v>0</v>
      </c>
      <c r="J26" s="14">
        <f>I26+H26+G26</f>
        <v>280</v>
      </c>
      <c r="K26" s="1">
        <f>120+5-15+30</f>
        <v>140</v>
      </c>
      <c r="L26" s="14">
        <f>J26+K26</f>
        <v>420</v>
      </c>
      <c r="M26" s="33">
        <f t="shared" si="2"/>
        <v>17690.715647074805</v>
      </c>
      <c r="N26" s="33">
        <f t="shared" si="3"/>
        <v>35265.748832754696</v>
      </c>
      <c r="O26" s="33">
        <f t="shared" si="4"/>
        <v>52956.464479829505</v>
      </c>
      <c r="P26" s="33">
        <f t="shared" si="5"/>
        <v>52956.46</v>
      </c>
    </row>
    <row r="27" spans="1:16" s="15" customFormat="1" ht="33.75" customHeight="1">
      <c r="A27" s="2">
        <v>21</v>
      </c>
      <c r="B27" s="2" t="s">
        <v>33</v>
      </c>
      <c r="C27" s="1">
        <v>120</v>
      </c>
      <c r="D27" s="1">
        <v>42</v>
      </c>
      <c r="E27" s="1">
        <v>40</v>
      </c>
      <c r="F27" s="14">
        <f>E27/D27</f>
        <v>0.9523809523809523</v>
      </c>
      <c r="G27" s="14">
        <f>C27*F27</f>
        <v>114.28571428571428</v>
      </c>
      <c r="H27" s="1">
        <v>60</v>
      </c>
      <c r="I27" s="1">
        <v>0</v>
      </c>
      <c r="J27" s="14">
        <f>G27+H27+I27</f>
        <v>174.28571428571428</v>
      </c>
      <c r="K27" s="1">
        <f>55+3.75</f>
        <v>58.75</v>
      </c>
      <c r="L27" s="14">
        <f t="shared" si="1"/>
        <v>233.03571428571428</v>
      </c>
      <c r="M27" s="33">
        <f t="shared" si="2"/>
        <v>11011.567902771052</v>
      </c>
      <c r="N27" s="33">
        <f t="shared" si="3"/>
        <v>14799.01959945956</v>
      </c>
      <c r="O27" s="33">
        <f t="shared" si="4"/>
        <v>25810.587502230614</v>
      </c>
      <c r="P27" s="33">
        <f t="shared" si="5"/>
        <v>25810.59</v>
      </c>
    </row>
    <row r="28" spans="1:16" s="15" customFormat="1" ht="81.75" customHeight="1">
      <c r="A28" s="2">
        <v>22</v>
      </c>
      <c r="B28" s="40" t="s">
        <v>18</v>
      </c>
      <c r="C28" s="1">
        <v>236</v>
      </c>
      <c r="D28" s="1">
        <v>88</v>
      </c>
      <c r="E28" s="1">
        <f>142-10-5-5</f>
        <v>122</v>
      </c>
      <c r="F28" s="14">
        <f t="shared" si="8"/>
        <v>1.3863636363636365</v>
      </c>
      <c r="G28" s="14">
        <f>C28</f>
        <v>236</v>
      </c>
      <c r="H28" s="1">
        <v>60</v>
      </c>
      <c r="I28" s="1">
        <v>40</v>
      </c>
      <c r="J28" s="14">
        <f>G28+H28+I28</f>
        <v>336</v>
      </c>
      <c r="K28" s="1">
        <f>172.5+2.86-10-7.5-7.5</f>
        <v>150.36</v>
      </c>
      <c r="L28" s="14">
        <f t="shared" si="1"/>
        <v>486.36</v>
      </c>
      <c r="M28" s="33">
        <f t="shared" si="2"/>
        <v>21228.858776489767</v>
      </c>
      <c r="N28" s="33">
        <f t="shared" si="3"/>
        <v>37875.41424637855</v>
      </c>
      <c r="O28" s="33">
        <f t="shared" si="4"/>
        <v>59104.273022868314</v>
      </c>
      <c r="P28" s="33">
        <f t="shared" si="5"/>
        <v>59104.27</v>
      </c>
    </row>
    <row r="29" spans="1:16" s="15" customFormat="1" ht="29.25" customHeight="1">
      <c r="A29" s="2">
        <v>23</v>
      </c>
      <c r="B29" s="40" t="s">
        <v>40</v>
      </c>
      <c r="C29" s="1">
        <v>160</v>
      </c>
      <c r="D29" s="1">
        <v>48</v>
      </c>
      <c r="E29" s="1">
        <f>48+5-2</f>
        <v>51</v>
      </c>
      <c r="F29" s="14">
        <f t="shared" si="8"/>
        <v>1.0625</v>
      </c>
      <c r="G29" s="14">
        <f>C29</f>
        <v>160</v>
      </c>
      <c r="H29" s="1">
        <v>60</v>
      </c>
      <c r="I29" s="1">
        <v>0</v>
      </c>
      <c r="J29" s="14">
        <f>G29+H29+I29</f>
        <v>220</v>
      </c>
      <c r="K29" s="1">
        <f>77.5+5+7.5-5</f>
        <v>85</v>
      </c>
      <c r="L29" s="14">
        <f t="shared" si="1"/>
        <v>305</v>
      </c>
      <c r="M29" s="33">
        <f t="shared" si="2"/>
        <v>13899.84800841592</v>
      </c>
      <c r="N29" s="33">
        <f t="shared" si="3"/>
        <v>21411.347505601065</v>
      </c>
      <c r="O29" s="33">
        <f t="shared" si="4"/>
        <v>35311.19551401699</v>
      </c>
      <c r="P29" s="33">
        <f t="shared" si="5"/>
        <v>35311.2</v>
      </c>
    </row>
    <row r="30" spans="1:16" s="15" customFormat="1" ht="43.5" customHeight="1">
      <c r="A30" s="2">
        <v>24</v>
      </c>
      <c r="B30" s="2" t="s">
        <v>41</v>
      </c>
      <c r="C30" s="1">
        <v>115</v>
      </c>
      <c r="D30" s="1">
        <v>36</v>
      </c>
      <c r="E30" s="1">
        <v>45</v>
      </c>
      <c r="F30" s="14">
        <f t="shared" si="8"/>
        <v>1.25</v>
      </c>
      <c r="G30" s="14">
        <f>C30</f>
        <v>115</v>
      </c>
      <c r="H30" s="1">
        <v>40</v>
      </c>
      <c r="I30" s="1">
        <v>0</v>
      </c>
      <c r="J30" s="14">
        <f>G30+H30+I30</f>
        <v>155</v>
      </c>
      <c r="K30" s="1">
        <f>57.5+4.29</f>
        <v>61.79</v>
      </c>
      <c r="L30" s="14">
        <f t="shared" si="1"/>
        <v>216.79</v>
      </c>
      <c r="M30" s="33">
        <f t="shared" si="2"/>
        <v>9793.074733202126</v>
      </c>
      <c r="N30" s="33">
        <f t="shared" si="3"/>
        <v>15564.790145542234</v>
      </c>
      <c r="O30" s="33">
        <f t="shared" si="4"/>
        <v>25357.86487874436</v>
      </c>
      <c r="P30" s="33">
        <f t="shared" si="5"/>
        <v>25357.86</v>
      </c>
    </row>
    <row r="31" spans="1:16" s="15" customFormat="1" ht="36" customHeight="1">
      <c r="A31" s="2">
        <v>25</v>
      </c>
      <c r="B31" s="2" t="s">
        <v>42</v>
      </c>
      <c r="C31" s="1">
        <v>45</v>
      </c>
      <c r="D31" s="1">
        <v>13</v>
      </c>
      <c r="E31" s="1">
        <v>20</v>
      </c>
      <c r="F31" s="14">
        <f t="shared" si="8"/>
        <v>1.5384615384615385</v>
      </c>
      <c r="G31" s="14">
        <f>C31</f>
        <v>45</v>
      </c>
      <c r="H31" s="1">
        <v>40</v>
      </c>
      <c r="I31" s="1">
        <v>0</v>
      </c>
      <c r="J31" s="14">
        <f>G31+H31+I31</f>
        <v>85</v>
      </c>
      <c r="K31" s="1">
        <f>25+2</f>
        <v>27</v>
      </c>
      <c r="L31" s="14">
        <f t="shared" si="1"/>
        <v>112</v>
      </c>
      <c r="M31" s="33">
        <f t="shared" si="2"/>
        <v>5370.395821433423</v>
      </c>
      <c r="N31" s="33">
        <f t="shared" si="3"/>
        <v>6801.251560602692</v>
      </c>
      <c r="O31" s="33">
        <f t="shared" si="4"/>
        <v>12171.647382036115</v>
      </c>
      <c r="P31" s="33">
        <f t="shared" si="5"/>
        <v>12171.65</v>
      </c>
    </row>
    <row r="32" spans="1:16" s="15" customFormat="1" ht="27" customHeight="1">
      <c r="A32" s="2"/>
      <c r="B32" s="24" t="s">
        <v>6</v>
      </c>
      <c r="C32" s="14">
        <f>SUM(C7:C31)</f>
        <v>3680</v>
      </c>
      <c r="D32" s="14">
        <f>SUM(D7:D31)</f>
        <v>1151</v>
      </c>
      <c r="E32" s="14">
        <f>SUM(E7:E31)</f>
        <v>1271.6399999999999</v>
      </c>
      <c r="F32" s="14"/>
      <c r="G32" s="14">
        <f aca="true" t="shared" si="9" ref="G32:N32">SUM(G7:G31)</f>
        <v>3316.3859455701772</v>
      </c>
      <c r="H32" s="1">
        <f t="shared" si="9"/>
        <v>1210</v>
      </c>
      <c r="I32" s="1">
        <f t="shared" si="9"/>
        <v>136</v>
      </c>
      <c r="J32" s="14">
        <f t="shared" si="9"/>
        <v>4662.385945570177</v>
      </c>
      <c r="K32" s="14">
        <f t="shared" si="9"/>
        <v>1754.13</v>
      </c>
      <c r="L32" s="14">
        <f t="shared" si="9"/>
        <v>6416.515945570177</v>
      </c>
      <c r="M32" s="33">
        <f t="shared" si="9"/>
        <v>294574.79999999993</v>
      </c>
      <c r="N32" s="33">
        <f t="shared" si="9"/>
        <v>441862.1999999999</v>
      </c>
      <c r="O32" s="33">
        <f>M32+N32</f>
        <v>736436.9999999998</v>
      </c>
      <c r="P32" s="33">
        <f>SUM(P7:P31)</f>
        <v>736437</v>
      </c>
    </row>
    <row r="33" spans="1:16" s="15" customFormat="1" ht="27" customHeight="1">
      <c r="A33" s="18"/>
      <c r="D33" s="5"/>
      <c r="E33" s="5"/>
      <c r="F33" s="5"/>
      <c r="G33" s="5"/>
      <c r="H33" s="4"/>
      <c r="I33" s="4"/>
      <c r="J33" s="5"/>
      <c r="K33" s="5"/>
      <c r="L33" s="5"/>
      <c r="M33" s="20"/>
      <c r="N33" s="20"/>
      <c r="O33" s="20"/>
      <c r="P33" s="20"/>
    </row>
    <row r="34" spans="1:16" s="15" customFormat="1" ht="27" customHeight="1">
      <c r="A34" s="18"/>
      <c r="B34" s="18" t="s">
        <v>47</v>
      </c>
      <c r="C34" s="31">
        <v>4735000</v>
      </c>
      <c r="D34" s="20"/>
      <c r="E34" s="20"/>
      <c r="F34" s="20"/>
      <c r="G34" s="20"/>
      <c r="H34" s="18"/>
      <c r="I34" s="18"/>
      <c r="J34" s="20"/>
      <c r="K34" s="20"/>
      <c r="L34" s="20"/>
      <c r="M34" s="20"/>
      <c r="N34" s="20"/>
      <c r="O34" s="20"/>
      <c r="P34" s="20"/>
    </row>
    <row r="35" spans="1:15" s="15" customFormat="1" ht="25.5" customHeight="1">
      <c r="A35" s="4"/>
      <c r="B35" s="44"/>
      <c r="C35" s="31"/>
      <c r="D35" s="20"/>
      <c r="E35" s="20"/>
      <c r="F35" s="20"/>
      <c r="G35" s="19"/>
      <c r="H35" s="18"/>
      <c r="I35" s="18"/>
      <c r="J35" s="20"/>
      <c r="K35" s="20"/>
      <c r="L35" s="20"/>
      <c r="M35" s="20"/>
      <c r="N35" s="20"/>
      <c r="O35" s="20"/>
    </row>
    <row r="36" spans="1:15" s="15" customFormat="1" ht="42.75" customHeight="1">
      <c r="A36" s="4"/>
      <c r="B36" s="44" t="s">
        <v>51</v>
      </c>
      <c r="C36" s="31">
        <v>821000</v>
      </c>
      <c r="D36" s="20"/>
      <c r="E36" s="25"/>
      <c r="G36" s="20"/>
      <c r="H36" s="20"/>
      <c r="I36" s="18"/>
      <c r="J36" s="20"/>
      <c r="K36" s="20"/>
      <c r="L36" s="20"/>
      <c r="M36" s="20"/>
      <c r="N36" s="20"/>
      <c r="O36" s="20"/>
    </row>
    <row r="37" spans="1:15" s="15" customFormat="1" ht="45.75" customHeight="1">
      <c r="A37" s="4"/>
      <c r="B37" s="30" t="s">
        <v>48</v>
      </c>
      <c r="C37" s="32" t="s">
        <v>39</v>
      </c>
      <c r="D37" s="20"/>
      <c r="E37" s="20"/>
      <c r="F37" s="20"/>
      <c r="G37" s="19"/>
      <c r="H37" s="20"/>
      <c r="I37" s="18"/>
      <c r="J37" s="20"/>
      <c r="K37" s="20"/>
      <c r="L37" s="20"/>
      <c r="M37" s="20"/>
      <c r="N37" s="20"/>
      <c r="O37" s="20"/>
    </row>
    <row r="38" spans="1:15" s="15" customFormat="1" ht="21.75" customHeight="1">
      <c r="A38" s="4"/>
      <c r="B38" s="30"/>
      <c r="C38" s="32"/>
      <c r="D38" s="20"/>
      <c r="E38" s="20"/>
      <c r="F38" s="20"/>
      <c r="G38" s="19"/>
      <c r="H38" s="20"/>
      <c r="I38" s="18"/>
      <c r="J38" s="20"/>
      <c r="K38" s="20"/>
      <c r="L38" s="20"/>
      <c r="M38" s="20"/>
      <c r="N38" s="20"/>
      <c r="O38" s="20"/>
    </row>
    <row r="39" spans="1:15" s="15" customFormat="1" ht="42" customHeight="1">
      <c r="A39" s="4"/>
      <c r="B39" s="39" t="s">
        <v>53</v>
      </c>
      <c r="C39" s="31">
        <f>C36*10.3%</f>
        <v>84563</v>
      </c>
      <c r="D39" s="20"/>
      <c r="E39" s="20"/>
      <c r="F39" s="20"/>
      <c r="G39" s="19"/>
      <c r="H39" s="18"/>
      <c r="I39" s="18"/>
      <c r="J39" s="20"/>
      <c r="K39" s="20"/>
      <c r="L39" s="20"/>
      <c r="M39" s="20"/>
      <c r="N39" s="20"/>
      <c r="O39" s="20"/>
    </row>
    <row r="40" spans="1:15" s="15" customFormat="1" ht="45.75" customHeight="1">
      <c r="A40" s="29"/>
      <c r="B40" s="17" t="s">
        <v>54</v>
      </c>
      <c r="C40" s="31">
        <f>C36-C39</f>
        <v>736437</v>
      </c>
      <c r="D40" s="20"/>
      <c r="E40" s="5"/>
      <c r="F40" s="5"/>
      <c r="G40" s="19"/>
      <c r="H40" s="4"/>
      <c r="I40" s="4"/>
      <c r="J40" s="5"/>
      <c r="K40" s="5"/>
      <c r="L40" s="5"/>
      <c r="M40" s="5"/>
      <c r="N40" s="5"/>
      <c r="O40" s="5"/>
    </row>
    <row r="41" spans="1:15" s="15" customFormat="1" ht="18.75" customHeight="1">
      <c r="A41" s="29"/>
      <c r="B41" s="30"/>
      <c r="C41" s="31"/>
      <c r="D41" s="20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</row>
    <row r="42" spans="1:15" s="15" customFormat="1" ht="29.25" customHeight="1">
      <c r="A42" s="29"/>
      <c r="B42" s="19" t="s">
        <v>52</v>
      </c>
      <c r="C42" s="31">
        <v>736437</v>
      </c>
      <c r="D42" s="20"/>
      <c r="E42" s="20"/>
      <c r="F42" s="5"/>
      <c r="G42" s="5"/>
      <c r="H42" s="5"/>
      <c r="I42" s="4"/>
      <c r="J42" s="5"/>
      <c r="K42" s="5"/>
      <c r="L42" s="5"/>
      <c r="M42" s="5"/>
      <c r="N42" s="5"/>
      <c r="O42" s="5"/>
    </row>
    <row r="43" spans="1:15" s="15" customFormat="1" ht="15.75" customHeight="1">
      <c r="A43" s="4"/>
      <c r="B43" s="30"/>
      <c r="C43" s="3"/>
      <c r="D43" s="20"/>
      <c r="E43" s="5"/>
      <c r="F43" s="5"/>
      <c r="G43" s="5"/>
      <c r="H43" s="5"/>
      <c r="J43" s="5"/>
      <c r="K43" s="5"/>
      <c r="L43" s="5"/>
      <c r="N43" s="26"/>
      <c r="O43" s="27"/>
    </row>
    <row r="44" spans="1:14" s="15" customFormat="1" ht="22.5" customHeight="1">
      <c r="A44" s="4"/>
      <c r="B44" s="9" t="s">
        <v>35</v>
      </c>
      <c r="D44" s="3">
        <f>C42*40%</f>
        <v>294574.8</v>
      </c>
      <c r="E44" s="9"/>
      <c r="M44" s="21"/>
      <c r="N44" s="28"/>
    </row>
    <row r="45" spans="1:14" s="15" customFormat="1" ht="24" customHeight="1">
      <c r="A45" s="4"/>
      <c r="B45" s="9" t="s">
        <v>49</v>
      </c>
      <c r="D45" s="10">
        <f>D44/J32</f>
        <v>63.18112731098145</v>
      </c>
      <c r="E45" s="25"/>
      <c r="M45" s="21"/>
      <c r="N45" s="6"/>
    </row>
    <row r="46" spans="1:14" s="15" customFormat="1" ht="21" customHeight="1">
      <c r="A46" s="4"/>
      <c r="B46" s="9" t="s">
        <v>36</v>
      </c>
      <c r="D46" s="3">
        <f>C42*60%</f>
        <v>441862.2</v>
      </c>
      <c r="E46" s="11"/>
      <c r="M46" s="21"/>
      <c r="N46" s="6"/>
    </row>
    <row r="47" spans="1:14" s="15" customFormat="1" ht="18.75" customHeight="1">
      <c r="A47" s="4"/>
      <c r="B47" s="9" t="s">
        <v>50</v>
      </c>
      <c r="D47" s="10">
        <f>D46/K32</f>
        <v>251.89820594824783</v>
      </c>
      <c r="E47" s="25"/>
      <c r="M47" s="21"/>
      <c r="N47" s="6"/>
    </row>
    <row r="48" spans="1:9" s="15" customFormat="1" ht="18.75" customHeight="1">
      <c r="A48" s="4"/>
      <c r="B48" s="8"/>
      <c r="D48" s="10"/>
      <c r="E48" s="25"/>
      <c r="I48" s="25"/>
    </row>
    <row r="49" spans="2:17" ht="12.75">
      <c r="B49" s="35"/>
      <c r="P49" s="38"/>
      <c r="Q49" s="38"/>
    </row>
    <row r="50" spans="2:8" ht="15.75">
      <c r="B50" s="35"/>
      <c r="H50" s="27"/>
    </row>
    <row r="51" spans="2:8" ht="15.75">
      <c r="B51" s="35"/>
      <c r="G51" s="26"/>
      <c r="H51" s="27"/>
    </row>
    <row r="52" spans="2:9" ht="15.75">
      <c r="B52" s="7"/>
      <c r="C52" s="5"/>
      <c r="D52" s="5"/>
      <c r="E52" s="5"/>
      <c r="F52" s="21"/>
      <c r="I52" s="7"/>
    </row>
    <row r="53" spans="2:9" ht="15.75">
      <c r="B53" s="7"/>
      <c r="F53" s="21"/>
      <c r="I53" s="21"/>
    </row>
    <row r="54" spans="2:9" ht="15.75">
      <c r="B54" s="15"/>
      <c r="F54" s="21"/>
      <c r="I54" s="21"/>
    </row>
    <row r="55" spans="2:11" ht="15.75">
      <c r="B55" s="15"/>
      <c r="F55" s="36"/>
      <c r="I55" s="37"/>
      <c r="K55" s="7"/>
    </row>
    <row r="56" ht="15.75">
      <c r="K56" s="7"/>
    </row>
    <row r="57" ht="12.75">
      <c r="B57" s="6"/>
    </row>
  </sheetData>
  <sheetProtection/>
  <printOptions/>
  <pageMargins left="0.29" right="0.35" top="0.001" bottom="0.001" header="0.236220472440945" footer="0.15748031496063"/>
  <pageSetup horizontalDpi="600" verticalDpi="600" orientation="landscape" paperSize="9" scale="60" r:id="rId1"/>
  <headerFooter alignWithMargins="0">
    <oddFooter>&amp;C&amp;P</oddFooter>
  </headerFooter>
  <rowBreaks count="1" manualBreakCount="1">
    <brk id="29" max="15" man="1"/>
  </rowBreaks>
  <ignoredErrors>
    <ignoredError sqref="J26 G24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2024-02-01T16:13:52Z</cp:lastPrinted>
  <dcterms:created xsi:type="dcterms:W3CDTF">2008-04-09T11:23:43Z</dcterms:created>
  <dcterms:modified xsi:type="dcterms:W3CDTF">2024-02-07T09:11:15Z</dcterms:modified>
  <cp:category/>
  <cp:version/>
  <cp:contentType/>
  <cp:contentStatus/>
</cp:coreProperties>
</file>